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fileSharing readOnlyRecommended="1"/>
  <workbookPr defaultThemeVersion="166925"/>
  <mc:AlternateContent xmlns:mc="http://schemas.openxmlformats.org/markup-compatibility/2006">
    <mc:Choice Requires="x15">
      <x15ac:absPath xmlns:x15ac="http://schemas.microsoft.com/office/spreadsheetml/2010/11/ac" url="https://masterbuilderskzn-my.sharepoint.com/personal/alisha_masterbuilders_co_za/Documents/Desktop/DEPARTMENT MATTERS/"/>
    </mc:Choice>
  </mc:AlternateContent>
  <xr:revisionPtr revIDLastSave="0" documentId="8_{2E8F7022-2293-4738-A057-ED717DE486BA}" xr6:coauthVersionLast="47" xr6:coauthVersionMax="47" xr10:uidLastSave="{00000000-0000-0000-0000-000000000000}"/>
  <bookViews>
    <workbookView xWindow="-120" yWindow="-120" windowWidth="19440" windowHeight="15000" xr2:uid="{6730FFD9-4EFF-4749-AFCB-0D7021F31B98}"/>
  </bookViews>
  <sheets>
    <sheet name="Front Page" sheetId="2" r:id="rId1"/>
    <sheet name="Calculatio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2" l="1"/>
  <c r="C16" i="2" s="1"/>
  <c r="F16" i="2" s="1"/>
  <c r="D33" i="1"/>
  <c r="F24" i="2"/>
  <c r="F25" i="2"/>
  <c r="F22" i="2"/>
  <c r="B5" i="1"/>
  <c r="F18" i="2"/>
  <c r="E33" i="1"/>
  <c r="D30" i="1"/>
  <c r="E30" i="1" s="1"/>
  <c r="D22" i="1"/>
  <c r="D23" i="1" s="1"/>
  <c r="D24" i="1" s="1"/>
  <c r="A20" i="1"/>
  <c r="A19" i="1"/>
  <c r="A18" i="1"/>
  <c r="A17" i="1"/>
  <c r="A16" i="1"/>
  <c r="A15" i="1"/>
  <c r="E35" i="1" l="1"/>
  <c r="E36" i="1" s="1"/>
  <c r="E37" i="1" s="1"/>
  <c r="D35" i="1"/>
  <c r="D36" i="1" s="1"/>
  <c r="D37" i="1" s="1"/>
  <c r="D38" i="1" l="1"/>
  <c r="B3" i="1"/>
  <c r="B6" i="1"/>
  <c r="B4" i="1"/>
  <c r="D39" i="1" l="1"/>
  <c r="D40" i="1" s="1"/>
  <c r="F17" i="2" s="1"/>
  <c r="F19" i="2" s="1"/>
  <c r="B8" i="1"/>
  <c r="F13" i="2" s="1"/>
</calcChain>
</file>

<file path=xl/sharedStrings.xml><?xml version="1.0" encoding="utf-8"?>
<sst xmlns="http://schemas.openxmlformats.org/spreadsheetml/2006/main" count="84" uniqueCount="79">
  <si>
    <t>Payment at end of month</t>
  </si>
  <si>
    <t>Future Value</t>
  </si>
  <si>
    <t>Number of years to retirement</t>
  </si>
  <si>
    <t>Monthly contribution</t>
  </si>
  <si>
    <t>Number of months</t>
  </si>
  <si>
    <t>Value in today's rands at retirement</t>
  </si>
  <si>
    <t>Value of fund credit</t>
  </si>
  <si>
    <t>Yes</t>
  </si>
  <si>
    <t>Investment Return</t>
  </si>
  <si>
    <t>Value of current fund credit, if any</t>
  </si>
  <si>
    <t>Tax Rates</t>
  </si>
  <si>
    <t>Taxable Income ®</t>
  </si>
  <si>
    <t>Rates of Taxes</t>
  </si>
  <si>
    <t>of each R1</t>
  </si>
  <si>
    <t>of amount over R216 200</t>
  </si>
  <si>
    <t>of amount over R337 800</t>
  </si>
  <si>
    <t>of amount over R467 500</t>
  </si>
  <si>
    <t>of amount over R613 600</t>
  </si>
  <si>
    <t>of amount over R782 200</t>
  </si>
  <si>
    <t>of amount over R1 656 600</t>
  </si>
  <si>
    <t>Primary</t>
  </si>
  <si>
    <t>Additional</t>
  </si>
  <si>
    <t>2022 TAX COMPUTATION</t>
  </si>
  <si>
    <t>Months</t>
  </si>
  <si>
    <t>Age</t>
  </si>
  <si>
    <t>Income</t>
  </si>
  <si>
    <t>Salary</t>
  </si>
  <si>
    <t>Deductions</t>
  </si>
  <si>
    <t>Pension/Provident deduction</t>
  </si>
  <si>
    <t>Annualized</t>
  </si>
  <si>
    <t>Tax thereon</t>
  </si>
  <si>
    <t>Annual tax savings on contributions</t>
  </si>
  <si>
    <t>Monthly tax savings on contributions</t>
  </si>
  <si>
    <t>Actual contributions</t>
  </si>
  <si>
    <t>years</t>
  </si>
  <si>
    <t>Tax savings thereon</t>
  </si>
  <si>
    <t>Value of current fund credit</t>
  </si>
  <si>
    <t>Monthly contributions</t>
  </si>
  <si>
    <t>Actual return 8% less inflation 4%</t>
  </si>
  <si>
    <t>Contribution lee 28.125% for costs and insured benefits</t>
  </si>
  <si>
    <t>Future Value Calculator Details</t>
  </si>
  <si>
    <t>Death</t>
  </si>
  <si>
    <t>Disability</t>
  </si>
  <si>
    <t>Insured Benefits - under 65</t>
  </si>
  <si>
    <t xml:space="preserve">     Temporary</t>
  </si>
  <si>
    <t xml:space="preserve">     Permanent</t>
  </si>
  <si>
    <t>Funeral</t>
  </si>
  <si>
    <t>Ranging up to R40,000</t>
  </si>
  <si>
    <t>Insured Benefits - over 65 to 70</t>
  </si>
  <si>
    <t>Actual costs in today's rands</t>
  </si>
  <si>
    <t>75% of monthly pensionable salary for 21 months</t>
  </si>
  <si>
    <t>Plus fund credit</t>
  </si>
  <si>
    <t xml:space="preserve">5 times annual pensionable salary </t>
  </si>
  <si>
    <t xml:space="preserve">3 times annual pensionable salary </t>
  </si>
  <si>
    <t>Per month</t>
  </si>
  <si>
    <t>Default</t>
  </si>
  <si>
    <t>Threshold limit</t>
  </si>
  <si>
    <t>Tax Before/After Pension/Provident Contributions</t>
  </si>
  <si>
    <t>Before</t>
  </si>
  <si>
    <t>After</t>
  </si>
  <si>
    <t>Age of retirement</t>
  </si>
  <si>
    <t>KWAZULU-NATAL RETIREMENT AND PROVIDENT FUND</t>
  </si>
  <si>
    <t>FUTURE VALUE CALCULATOR OF PENSION FUND CONTRIBUTIONS</t>
  </si>
  <si>
    <t>Investment return after deducting inflation</t>
  </si>
  <si>
    <t>Please note the following:</t>
  </si>
  <si>
    <t>Calculations are based on today's Rand value.</t>
  </si>
  <si>
    <t>Investment returns are based on returns after deducting inflation.</t>
  </si>
  <si>
    <t>Contribution increases are deemed to increase by inflation resulting in constant contributions going forward.</t>
  </si>
  <si>
    <t>Disclaimer</t>
  </si>
  <si>
    <t>Please note that the calculations displayed by this tool may not be 100% accurate, correct and/or complete and that they are intended solely for general information and education purposes. You should not take any action on the basis of the information provided by this application as it should NOT be considered as a substitute for any professional financial service or advice. The creator of this calculator is in no way liable of any actions that might be taken by users.</t>
  </si>
  <si>
    <t>The calculator is intended for information purposes only. We endeavor to keep it up to date. Any reliance placed on the content of the website is to be made at your own risk.</t>
  </si>
  <si>
    <t>We do not take liability for any loss or damage including without limitation, indirect or consequential loss or damage, or any loss or damage whatsoever arising out of, or in connection with the use of the calculator.</t>
  </si>
  <si>
    <t>Your use of the aforementioned calculator is at your own risk. The calculator is provided on an "as is" and "as available" basis. We expressly disclaim all warranties of any kind, whether express or implied.</t>
  </si>
  <si>
    <t>This retirement benefit may be augmented with surplus amounts in the Fund referred to as a Target Pension.</t>
  </si>
  <si>
    <t xml:space="preserve">A Target Pension calculation is made up of different variables such as years of membership to the Fund, average pensionable salary and age. </t>
  </si>
  <si>
    <t>Therefore long standing members to the Fund benefit significantly with the Target Pension at retirement.</t>
  </si>
  <si>
    <t>Target Pension -KwaZulu Natal Retirement Fund only</t>
  </si>
  <si>
    <t>Members are entitled to their fund credit (net contributions and investment growth) as a retirement benefit from the age of 55 onwards.</t>
  </si>
  <si>
    <t>Current 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</si>
</sst>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 #,##0_ ;_ * \-#,##0_ ;_ * &quot;-&quot;??_ ;_ @_ "/>
  </numFmts>
  <fonts count="6"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0"/>
      <name val="Arial"/>
      <family val="2"/>
    </font>
    <font>
      <b/>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indexed="43"/>
        <bgColor indexed="64"/>
      </patternFill>
    </fill>
  </fills>
  <borders count="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2" fillId="0" borderId="0" applyFont="0" applyFill="0" applyBorder="0" applyAlignment="0" applyProtection="0"/>
    <xf numFmtId="9" fontId="2" fillId="0" borderId="0" applyFont="0" applyFill="0" applyBorder="0" applyAlignment="0" applyProtection="0"/>
  </cellStyleXfs>
  <cellXfs count="40">
    <xf numFmtId="0" fontId="0" fillId="0" borderId="0" xfId="0"/>
    <xf numFmtId="0" fontId="1" fillId="0" borderId="0" xfId="0" applyFont="1"/>
    <xf numFmtId="10" fontId="0" fillId="0" borderId="0" xfId="0" applyNumberFormat="1"/>
    <xf numFmtId="3" fontId="0" fillId="0" borderId="0" xfId="0" applyNumberFormat="1"/>
    <xf numFmtId="0" fontId="3" fillId="0" borderId="0" xfId="0" applyFont="1"/>
    <xf numFmtId="1" fontId="0" fillId="0" borderId="0" xfId="0" applyNumberFormat="1"/>
    <xf numFmtId="1" fontId="3" fillId="0" borderId="0" xfId="0" applyNumberFormat="1" applyFont="1"/>
    <xf numFmtId="4" fontId="0" fillId="0" borderId="0" xfId="0" applyNumberFormat="1"/>
    <xf numFmtId="165" fontId="3" fillId="0" borderId="0" xfId="1" applyNumberFormat="1" applyFont="1"/>
    <xf numFmtId="165" fontId="3" fillId="3" borderId="5" xfId="1" applyNumberFormat="1" applyFont="1" applyFill="1" applyBorder="1"/>
    <xf numFmtId="9" fontId="3" fillId="3" borderId="5" xfId="2" applyFont="1" applyFill="1" applyBorder="1"/>
    <xf numFmtId="4" fontId="3" fillId="0" borderId="5" xfId="0" applyNumberFormat="1" applyFont="1" applyBorder="1"/>
    <xf numFmtId="0" fontId="4" fillId="0" borderId="0" xfId="0" applyFont="1"/>
    <xf numFmtId="4" fontId="4" fillId="0" borderId="0" xfId="0" applyNumberFormat="1" applyFont="1"/>
    <xf numFmtId="4" fontId="3" fillId="0" borderId="0" xfId="0" applyNumberFormat="1" applyFont="1"/>
    <xf numFmtId="3" fontId="3" fillId="0" borderId="0" xfId="1" applyNumberFormat="1" applyFont="1"/>
    <xf numFmtId="3" fontId="0" fillId="0" borderId="4" xfId="0" applyNumberFormat="1" applyBorder="1"/>
    <xf numFmtId="38" fontId="0" fillId="0" borderId="4" xfId="0" applyNumberFormat="1" applyBorder="1"/>
    <xf numFmtId="1" fontId="4" fillId="0" borderId="0" xfId="1" applyNumberFormat="1" applyFont="1"/>
    <xf numFmtId="0" fontId="1" fillId="0" borderId="0" xfId="0" applyFont="1" applyAlignment="1">
      <alignment horizontal="right"/>
    </xf>
    <xf numFmtId="0" fontId="1" fillId="0" borderId="0" xfId="0" applyFont="1" applyProtection="1">
      <protection locked="0"/>
    </xf>
    <xf numFmtId="0" fontId="0" fillId="0" borderId="0" xfId="0" applyProtection="1">
      <protection locked="0"/>
    </xf>
    <xf numFmtId="0" fontId="0" fillId="0" borderId="0" xfId="0" applyFont="1" applyProtection="1">
      <protection locked="0"/>
    </xf>
    <xf numFmtId="0" fontId="0" fillId="2" borderId="0" xfId="0" applyFill="1" applyProtection="1">
      <protection locked="0"/>
    </xf>
    <xf numFmtId="3" fontId="0" fillId="2" borderId="0" xfId="0" applyNumberFormat="1" applyFill="1" applyProtection="1">
      <protection locked="0"/>
    </xf>
    <xf numFmtId="0" fontId="0" fillId="0" borderId="0" xfId="0" applyProtection="1"/>
    <xf numFmtId="10" fontId="0" fillId="0" borderId="0" xfId="0" applyNumberFormat="1" applyProtection="1"/>
    <xf numFmtId="0" fontId="1" fillId="0" borderId="0" xfId="0" applyFont="1" applyProtection="1"/>
    <xf numFmtId="38" fontId="0" fillId="0" borderId="1" xfId="0" applyNumberFormat="1" applyBorder="1" applyAlignment="1" applyProtection="1">
      <alignment horizontal="right"/>
    </xf>
    <xf numFmtId="3" fontId="0" fillId="0" borderId="0" xfId="0" applyNumberFormat="1" applyProtection="1"/>
    <xf numFmtId="3" fontId="0" fillId="0" borderId="4" xfId="0" applyNumberFormat="1" applyBorder="1" applyProtection="1"/>
    <xf numFmtId="0" fontId="5" fillId="0" borderId="0" xfId="0" applyFont="1" applyProtection="1"/>
    <xf numFmtId="0" fontId="0" fillId="0" borderId="0" xfId="0" applyAlignment="1" applyProtection="1">
      <alignment vertical="center"/>
    </xf>
    <xf numFmtId="0" fontId="0" fillId="0" borderId="0" xfId="0" applyFont="1" applyProtection="1"/>
    <xf numFmtId="3" fontId="0" fillId="0" borderId="0" xfId="0" applyNumberFormat="1" applyFill="1" applyProtection="1"/>
    <xf numFmtId="0" fontId="0" fillId="0" borderId="0" xfId="0" applyAlignment="1" applyProtection="1">
      <alignment horizontal="left" wrapText="1"/>
    </xf>
    <xf numFmtId="0" fontId="0" fillId="0" borderId="0" xfId="0" applyAlignment="1" applyProtection="1">
      <alignment horizontal="left" vertical="top" wrapText="1"/>
    </xf>
    <xf numFmtId="4" fontId="4" fillId="0" borderId="2" xfId="0" applyNumberFormat="1" applyFont="1" applyBorder="1" applyAlignment="1">
      <alignment horizontal="center" vertical="center"/>
    </xf>
    <xf numFmtId="4" fontId="4" fillId="0" borderId="3" xfId="0" applyNumberFormat="1" applyFont="1" applyBorder="1" applyAlignment="1">
      <alignment horizontal="center" vertical="center"/>
    </xf>
    <xf numFmtId="4" fontId="4" fillId="0" borderId="4" xfId="0" applyNumberFormat="1" applyFont="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F1BB0-0959-4595-A6E2-52D34F9689B4}">
  <dimension ref="A1:M51"/>
  <sheetViews>
    <sheetView tabSelected="1" workbookViewId="0">
      <selection activeCell="A6" sqref="A6"/>
    </sheetView>
  </sheetViews>
  <sheetFormatPr defaultRowHeight="15" x14ac:dyDescent="0.25"/>
  <cols>
    <col min="1" max="1" width="11.42578125" style="21" customWidth="1"/>
    <col min="2" max="2" width="9.140625" style="21"/>
    <col min="3" max="3" width="21.7109375" style="21" customWidth="1"/>
    <col min="4" max="4" width="9.140625" style="21"/>
    <col min="5" max="5" width="13.140625" style="21" customWidth="1"/>
    <col min="6" max="6" width="9.85546875" style="21" bestFit="1" customWidth="1"/>
    <col min="7" max="16384" width="9.140625" style="21"/>
  </cols>
  <sheetData>
    <row r="1" spans="1:13" x14ac:dyDescent="0.25">
      <c r="A1" s="20" t="s">
        <v>61</v>
      </c>
    </row>
    <row r="2" spans="1:13" x14ac:dyDescent="0.25">
      <c r="A2" s="20" t="s">
        <v>62</v>
      </c>
    </row>
    <row r="5" spans="1:13" x14ac:dyDescent="0.25">
      <c r="A5" s="20"/>
    </row>
    <row r="6" spans="1:13" x14ac:dyDescent="0.25">
      <c r="A6" s="22" t="s">
        <v>78</v>
      </c>
      <c r="F6" s="23">
        <v>50</v>
      </c>
    </row>
    <row r="7" spans="1:13" x14ac:dyDescent="0.25">
      <c r="A7" s="22" t="s">
        <v>60</v>
      </c>
      <c r="F7" s="23">
        <v>65</v>
      </c>
    </row>
    <row r="8" spans="1:13" x14ac:dyDescent="0.25">
      <c r="A8" s="21" t="s">
        <v>3</v>
      </c>
      <c r="F8" s="24">
        <v>3000</v>
      </c>
    </row>
    <row r="9" spans="1:13" x14ac:dyDescent="0.25">
      <c r="A9" s="21" t="s">
        <v>9</v>
      </c>
      <c r="F9" s="24">
        <v>1000000</v>
      </c>
    </row>
    <row r="10" spans="1:13" x14ac:dyDescent="0.25">
      <c r="A10" s="25" t="s">
        <v>2</v>
      </c>
      <c r="B10" s="25"/>
      <c r="C10" s="25"/>
      <c r="D10" s="25"/>
      <c r="E10" s="25"/>
      <c r="F10" s="34">
        <f>+F7-F6</f>
        <v>15</v>
      </c>
      <c r="G10" s="25"/>
      <c r="H10" s="25"/>
      <c r="I10" s="25"/>
      <c r="J10" s="25"/>
      <c r="K10" s="25"/>
      <c r="L10" s="25"/>
      <c r="M10" s="25"/>
    </row>
    <row r="11" spans="1:13" x14ac:dyDescent="0.25">
      <c r="A11" s="25" t="s">
        <v>63</v>
      </c>
      <c r="B11" s="25"/>
      <c r="C11" s="25"/>
      <c r="D11" s="25"/>
      <c r="E11" s="25"/>
      <c r="F11" s="26">
        <v>0.04</v>
      </c>
      <c r="G11" s="25"/>
      <c r="H11" s="25"/>
      <c r="I11" s="25"/>
      <c r="J11" s="25"/>
      <c r="K11" s="25"/>
      <c r="L11" s="25"/>
      <c r="M11" s="25"/>
    </row>
    <row r="12" spans="1:13" x14ac:dyDescent="0.25">
      <c r="A12" s="25"/>
      <c r="B12" s="25"/>
      <c r="C12" s="25"/>
      <c r="D12" s="25"/>
      <c r="E12" s="25"/>
      <c r="F12" s="25"/>
      <c r="G12" s="25"/>
      <c r="H12" s="25"/>
      <c r="I12" s="25"/>
      <c r="J12" s="27"/>
      <c r="K12" s="25"/>
      <c r="L12" s="25"/>
      <c r="M12" s="25"/>
    </row>
    <row r="13" spans="1:13" x14ac:dyDescent="0.25">
      <c r="A13" s="27" t="s">
        <v>5</v>
      </c>
      <c r="B13" s="25"/>
      <c r="C13" s="25"/>
      <c r="D13" s="25"/>
      <c r="E13" s="25"/>
      <c r="F13" s="28">
        <f>+Calculation!B8</f>
        <v>2350934.242575461</v>
      </c>
      <c r="G13" s="25"/>
      <c r="H13" s="25"/>
      <c r="I13" s="25"/>
      <c r="J13" s="25"/>
      <c r="K13" s="25"/>
      <c r="L13" s="25"/>
      <c r="M13" s="25"/>
    </row>
    <row r="14" spans="1:13" x14ac:dyDescent="0.25">
      <c r="A14" s="25"/>
      <c r="B14" s="25"/>
      <c r="C14" s="25"/>
      <c r="D14" s="25"/>
      <c r="E14" s="25"/>
      <c r="F14" s="25"/>
      <c r="G14" s="25"/>
      <c r="H14" s="25"/>
      <c r="I14" s="25"/>
      <c r="J14" s="25"/>
      <c r="K14" s="25"/>
      <c r="L14" s="25"/>
      <c r="M14" s="25"/>
    </row>
    <row r="15" spans="1:13" x14ac:dyDescent="0.25">
      <c r="A15" s="27" t="s">
        <v>33</v>
      </c>
      <c r="B15" s="25"/>
      <c r="C15" s="25"/>
      <c r="D15" s="25"/>
      <c r="E15" s="25"/>
      <c r="F15" s="25"/>
      <c r="G15" s="25"/>
      <c r="H15" s="25"/>
      <c r="I15" s="25"/>
      <c r="J15" s="25"/>
      <c r="K15" s="25"/>
      <c r="L15" s="25"/>
      <c r="M15" s="25"/>
    </row>
    <row r="16" spans="1:13" x14ac:dyDescent="0.25">
      <c r="A16" s="25" t="s">
        <v>37</v>
      </c>
      <c r="B16" s="25"/>
      <c r="C16" s="29">
        <f>+F10</f>
        <v>15</v>
      </c>
      <c r="D16" s="25" t="s">
        <v>34</v>
      </c>
      <c r="E16" s="25"/>
      <c r="F16" s="29">
        <f>+F8*C16*12</f>
        <v>540000</v>
      </c>
      <c r="G16" s="25"/>
      <c r="H16" s="25"/>
      <c r="I16" s="25"/>
      <c r="J16" s="25"/>
      <c r="K16" s="25"/>
      <c r="L16" s="25"/>
      <c r="M16" s="25"/>
    </row>
    <row r="17" spans="1:13" x14ac:dyDescent="0.25">
      <c r="A17" s="25" t="s">
        <v>35</v>
      </c>
      <c r="B17" s="25"/>
      <c r="C17" s="25"/>
      <c r="D17" s="25"/>
      <c r="E17" s="25"/>
      <c r="F17" s="29">
        <f>-Calculation!D40*(F10*12)</f>
        <v>-107756.09999999998</v>
      </c>
      <c r="G17" s="25"/>
      <c r="H17" s="25"/>
      <c r="I17" s="25"/>
      <c r="J17" s="25"/>
      <c r="K17" s="25"/>
      <c r="L17" s="25"/>
      <c r="M17" s="25"/>
    </row>
    <row r="18" spans="1:13" x14ac:dyDescent="0.25">
      <c r="A18" s="25" t="s">
        <v>36</v>
      </c>
      <c r="B18" s="25"/>
      <c r="C18" s="25"/>
      <c r="D18" s="25"/>
      <c r="E18" s="25"/>
      <c r="F18" s="29">
        <f>+F9</f>
        <v>1000000</v>
      </c>
      <c r="G18" s="25"/>
      <c r="H18" s="25"/>
      <c r="I18" s="25"/>
      <c r="J18" s="25"/>
      <c r="K18" s="25"/>
      <c r="L18" s="25"/>
      <c r="M18" s="25"/>
    </row>
    <row r="19" spans="1:13" x14ac:dyDescent="0.25">
      <c r="A19" s="25" t="s">
        <v>49</v>
      </c>
      <c r="B19" s="25"/>
      <c r="C19" s="25"/>
      <c r="D19" s="25"/>
      <c r="E19" s="25"/>
      <c r="F19" s="30">
        <f>SUM(F16:F18)</f>
        <v>1432243.9</v>
      </c>
      <c r="G19" s="25"/>
      <c r="H19" s="25"/>
      <c r="I19" s="25"/>
      <c r="J19" s="25"/>
      <c r="K19" s="25"/>
      <c r="L19" s="25"/>
      <c r="M19" s="25"/>
    </row>
    <row r="20" spans="1:13" x14ac:dyDescent="0.25">
      <c r="A20" s="25"/>
      <c r="B20" s="25"/>
      <c r="C20" s="25"/>
      <c r="D20" s="25"/>
      <c r="E20" s="25"/>
      <c r="F20" s="25"/>
      <c r="G20" s="25"/>
      <c r="H20" s="25"/>
      <c r="I20" s="25"/>
      <c r="J20" s="25"/>
      <c r="K20" s="25"/>
      <c r="L20" s="25"/>
      <c r="M20" s="25"/>
    </row>
    <row r="21" spans="1:13" x14ac:dyDescent="0.25">
      <c r="A21" s="27" t="s">
        <v>43</v>
      </c>
      <c r="B21" s="25"/>
      <c r="C21" s="25"/>
      <c r="D21" s="25"/>
      <c r="E21" s="25"/>
      <c r="F21" s="25"/>
      <c r="G21" s="25"/>
      <c r="H21" s="25"/>
      <c r="I21" s="25"/>
      <c r="J21" s="25"/>
      <c r="K21" s="25"/>
      <c r="L21" s="25"/>
      <c r="M21" s="25"/>
    </row>
    <row r="22" spans="1:13" x14ac:dyDescent="0.25">
      <c r="A22" s="27" t="s">
        <v>41</v>
      </c>
      <c r="B22" s="25"/>
      <c r="C22" s="25" t="s">
        <v>52</v>
      </c>
      <c r="D22" s="25"/>
      <c r="E22" s="25"/>
      <c r="F22" s="29">
        <f>+$F$8/16*100*12*5</f>
        <v>1125000</v>
      </c>
      <c r="G22" s="25" t="s">
        <v>51</v>
      </c>
      <c r="H22" s="25"/>
      <c r="I22" s="25"/>
      <c r="J22" s="25"/>
      <c r="K22" s="25"/>
      <c r="L22" s="25"/>
      <c r="M22" s="25"/>
    </row>
    <row r="23" spans="1:13" x14ac:dyDescent="0.25">
      <c r="A23" s="27" t="s">
        <v>42</v>
      </c>
      <c r="B23" s="25"/>
      <c r="C23" s="25"/>
      <c r="D23" s="25"/>
      <c r="E23" s="25"/>
      <c r="F23" s="29"/>
      <c r="G23" s="25"/>
      <c r="H23" s="25"/>
      <c r="I23" s="25"/>
      <c r="J23" s="25"/>
      <c r="K23" s="25"/>
      <c r="L23" s="25"/>
      <c r="M23" s="25"/>
    </row>
    <row r="24" spans="1:13" x14ac:dyDescent="0.25">
      <c r="A24" s="27" t="s">
        <v>44</v>
      </c>
      <c r="B24" s="25"/>
      <c r="C24" s="25" t="s">
        <v>50</v>
      </c>
      <c r="D24" s="25"/>
      <c r="E24" s="25"/>
      <c r="F24" s="29">
        <f>+F8/16*100*75%</f>
        <v>14062.5</v>
      </c>
      <c r="G24" s="25" t="s">
        <v>54</v>
      </c>
      <c r="H24" s="25"/>
      <c r="I24" s="25"/>
      <c r="J24" s="25"/>
      <c r="K24" s="25"/>
      <c r="L24" s="25"/>
      <c r="M24" s="25"/>
    </row>
    <row r="25" spans="1:13" x14ac:dyDescent="0.25">
      <c r="A25" s="27" t="s">
        <v>45</v>
      </c>
      <c r="B25" s="25"/>
      <c r="C25" s="25" t="s">
        <v>53</v>
      </c>
      <c r="D25" s="25"/>
      <c r="E25" s="25"/>
      <c r="F25" s="29">
        <f>+$F$8/16*100*12*3</f>
        <v>675000</v>
      </c>
      <c r="G25" s="25" t="s">
        <v>51</v>
      </c>
      <c r="H25" s="25"/>
      <c r="I25" s="25"/>
      <c r="J25" s="25"/>
      <c r="K25" s="25"/>
      <c r="L25" s="25"/>
      <c r="M25" s="25"/>
    </row>
    <row r="26" spans="1:13" x14ac:dyDescent="0.25">
      <c r="A26" s="27" t="s">
        <v>46</v>
      </c>
      <c r="B26" s="25"/>
      <c r="C26" s="31" t="s">
        <v>47</v>
      </c>
      <c r="D26" s="25"/>
      <c r="E26" s="25"/>
      <c r="F26" s="29"/>
      <c r="G26" s="25"/>
      <c r="H26" s="25"/>
      <c r="I26" s="25"/>
      <c r="J26" s="25"/>
      <c r="K26" s="25"/>
      <c r="L26" s="25"/>
      <c r="M26" s="25"/>
    </row>
    <row r="27" spans="1:13" x14ac:dyDescent="0.25">
      <c r="A27" s="25"/>
      <c r="B27" s="25"/>
      <c r="C27" s="25"/>
      <c r="D27" s="25"/>
      <c r="E27" s="25"/>
      <c r="F27" s="29"/>
      <c r="G27" s="25"/>
      <c r="H27" s="25"/>
      <c r="I27" s="25"/>
      <c r="J27" s="25"/>
      <c r="K27" s="25"/>
      <c r="L27" s="25"/>
      <c r="M27" s="25"/>
    </row>
    <row r="28" spans="1:13" x14ac:dyDescent="0.25">
      <c r="A28" s="27" t="s">
        <v>48</v>
      </c>
      <c r="B28" s="25"/>
      <c r="C28" s="25"/>
      <c r="D28" s="25"/>
      <c r="E28" s="25"/>
      <c r="F28" s="25"/>
      <c r="G28" s="25"/>
      <c r="H28" s="25"/>
      <c r="I28" s="25"/>
      <c r="J28" s="25"/>
      <c r="K28" s="25"/>
      <c r="L28" s="25"/>
      <c r="M28" s="25"/>
    </row>
    <row r="29" spans="1:13" x14ac:dyDescent="0.25">
      <c r="A29" s="25" t="s">
        <v>41</v>
      </c>
      <c r="B29" s="25"/>
      <c r="C29" s="25"/>
      <c r="D29" s="25"/>
      <c r="E29" s="25"/>
      <c r="F29" s="29">
        <v>100000</v>
      </c>
      <c r="G29" s="25" t="s">
        <v>51</v>
      </c>
      <c r="H29" s="25"/>
      <c r="I29" s="25"/>
      <c r="J29" s="25"/>
      <c r="K29" s="25"/>
      <c r="L29" s="25"/>
      <c r="M29" s="25"/>
    </row>
    <row r="30" spans="1:13" x14ac:dyDescent="0.25">
      <c r="A30" s="25"/>
      <c r="B30" s="25"/>
      <c r="C30" s="25"/>
      <c r="D30" s="25"/>
      <c r="E30" s="25"/>
      <c r="F30" s="25"/>
      <c r="G30" s="25"/>
      <c r="H30" s="25"/>
      <c r="I30" s="25"/>
      <c r="J30" s="25"/>
      <c r="K30" s="25"/>
      <c r="L30" s="25"/>
      <c r="M30" s="25"/>
    </row>
    <row r="31" spans="1:13" x14ac:dyDescent="0.25">
      <c r="A31" s="25"/>
      <c r="B31" s="25"/>
      <c r="C31" s="25"/>
      <c r="D31" s="25"/>
      <c r="E31" s="25"/>
      <c r="F31" s="25"/>
      <c r="G31" s="25"/>
      <c r="H31" s="25"/>
      <c r="I31" s="25"/>
      <c r="J31" s="25"/>
      <c r="K31" s="25"/>
      <c r="L31" s="25"/>
      <c r="M31" s="25"/>
    </row>
    <row r="32" spans="1:13" x14ac:dyDescent="0.25">
      <c r="A32" s="27" t="s">
        <v>76</v>
      </c>
      <c r="B32" s="25"/>
      <c r="C32" s="25"/>
      <c r="D32" s="25"/>
      <c r="E32" s="25"/>
      <c r="F32" s="25"/>
      <c r="G32" s="25"/>
      <c r="H32" s="25"/>
      <c r="I32" s="25"/>
      <c r="J32" s="25"/>
      <c r="K32" s="25"/>
      <c r="L32" s="25"/>
      <c r="M32" s="25"/>
    </row>
    <row r="33" spans="1:13" x14ac:dyDescent="0.25">
      <c r="A33" s="32" t="s">
        <v>77</v>
      </c>
      <c r="B33" s="25"/>
      <c r="C33" s="25"/>
      <c r="D33" s="25"/>
      <c r="E33" s="25"/>
      <c r="F33" s="25"/>
      <c r="G33" s="25"/>
      <c r="H33" s="25"/>
      <c r="I33" s="25"/>
      <c r="J33" s="25"/>
      <c r="K33" s="25"/>
      <c r="L33" s="25"/>
      <c r="M33" s="25"/>
    </row>
    <row r="34" spans="1:13" x14ac:dyDescent="0.25">
      <c r="A34" s="32" t="s">
        <v>73</v>
      </c>
      <c r="B34" s="25"/>
      <c r="C34" s="25"/>
      <c r="D34" s="25"/>
      <c r="E34" s="25"/>
      <c r="F34" s="25"/>
      <c r="G34" s="25"/>
      <c r="H34" s="25"/>
      <c r="I34" s="25"/>
      <c r="J34" s="25"/>
      <c r="K34" s="25"/>
      <c r="L34" s="25"/>
      <c r="M34" s="25"/>
    </row>
    <row r="35" spans="1:13" x14ac:dyDescent="0.25">
      <c r="A35" s="32" t="s">
        <v>74</v>
      </c>
      <c r="B35" s="25"/>
      <c r="C35" s="25"/>
      <c r="D35" s="25"/>
      <c r="E35" s="25"/>
      <c r="F35" s="25"/>
      <c r="G35" s="25"/>
      <c r="H35" s="25"/>
      <c r="I35" s="25"/>
      <c r="J35" s="25"/>
      <c r="K35" s="25"/>
      <c r="L35" s="25"/>
      <c r="M35" s="25"/>
    </row>
    <row r="36" spans="1:13" x14ac:dyDescent="0.25">
      <c r="A36" s="25" t="s">
        <v>75</v>
      </c>
      <c r="B36" s="25"/>
      <c r="C36" s="25"/>
      <c r="D36" s="25"/>
      <c r="E36" s="25"/>
      <c r="F36" s="25"/>
      <c r="G36" s="25"/>
      <c r="H36" s="25"/>
      <c r="I36" s="25"/>
      <c r="J36" s="25"/>
      <c r="K36" s="25"/>
      <c r="L36" s="25"/>
      <c r="M36" s="25"/>
    </row>
    <row r="37" spans="1:13" x14ac:dyDescent="0.25">
      <c r="A37" s="25"/>
      <c r="B37" s="25"/>
      <c r="C37" s="25"/>
      <c r="D37" s="25"/>
      <c r="E37" s="25"/>
      <c r="F37" s="25"/>
      <c r="G37" s="25"/>
      <c r="H37" s="25"/>
      <c r="I37" s="25"/>
      <c r="J37" s="25"/>
      <c r="K37" s="25"/>
      <c r="L37" s="25"/>
      <c r="M37" s="25"/>
    </row>
    <row r="38" spans="1:13" x14ac:dyDescent="0.25">
      <c r="A38" s="25"/>
      <c r="B38" s="25"/>
      <c r="C38" s="25"/>
      <c r="D38" s="25"/>
      <c r="E38" s="25"/>
      <c r="F38" s="25"/>
      <c r="G38" s="25"/>
      <c r="H38" s="25"/>
      <c r="I38" s="25"/>
      <c r="J38" s="25"/>
      <c r="K38" s="25"/>
      <c r="L38" s="25"/>
      <c r="M38" s="25"/>
    </row>
    <row r="39" spans="1:13" x14ac:dyDescent="0.25">
      <c r="A39" s="27" t="s">
        <v>64</v>
      </c>
      <c r="B39" s="25"/>
      <c r="C39" s="25"/>
      <c r="D39" s="25"/>
      <c r="E39" s="25"/>
      <c r="F39" s="25"/>
      <c r="G39" s="25"/>
      <c r="H39" s="25"/>
      <c r="I39" s="25"/>
      <c r="J39" s="25"/>
      <c r="K39" s="25"/>
      <c r="L39" s="25"/>
      <c r="M39" s="25"/>
    </row>
    <row r="40" spans="1:13" x14ac:dyDescent="0.25">
      <c r="A40" s="33" t="s">
        <v>65</v>
      </c>
      <c r="B40" s="25"/>
      <c r="C40" s="25"/>
      <c r="D40" s="25"/>
      <c r="E40" s="25"/>
      <c r="F40" s="25"/>
      <c r="G40" s="25"/>
      <c r="H40" s="25"/>
      <c r="I40" s="25"/>
      <c r="J40" s="25"/>
      <c r="K40" s="25"/>
      <c r="L40" s="25"/>
      <c r="M40" s="25"/>
    </row>
    <row r="41" spans="1:13" x14ac:dyDescent="0.25">
      <c r="A41" s="33" t="s">
        <v>66</v>
      </c>
      <c r="B41" s="25"/>
      <c r="C41" s="25"/>
      <c r="D41" s="25"/>
      <c r="E41" s="25"/>
      <c r="F41" s="25"/>
      <c r="G41" s="25"/>
      <c r="H41" s="25"/>
      <c r="I41" s="25"/>
      <c r="J41" s="25"/>
      <c r="K41" s="25"/>
      <c r="L41" s="25"/>
      <c r="M41" s="25"/>
    </row>
    <row r="42" spans="1:13" x14ac:dyDescent="0.25">
      <c r="A42" s="33" t="s">
        <v>67</v>
      </c>
      <c r="B42" s="25"/>
      <c r="C42" s="25"/>
      <c r="D42" s="25"/>
      <c r="E42" s="25"/>
      <c r="F42" s="25"/>
      <c r="G42" s="25"/>
      <c r="H42" s="25"/>
      <c r="I42" s="25"/>
      <c r="J42" s="25"/>
      <c r="K42" s="25"/>
      <c r="L42" s="25"/>
      <c r="M42" s="25"/>
    </row>
    <row r="43" spans="1:13" x14ac:dyDescent="0.25">
      <c r="A43" s="33"/>
      <c r="B43" s="25"/>
      <c r="C43" s="25"/>
      <c r="D43" s="25"/>
      <c r="E43" s="25"/>
      <c r="F43" s="25"/>
      <c r="G43" s="25"/>
      <c r="H43" s="25"/>
      <c r="I43" s="25"/>
      <c r="J43" s="25"/>
      <c r="K43" s="25"/>
      <c r="L43" s="25"/>
      <c r="M43" s="25"/>
    </row>
    <row r="44" spans="1:13" x14ac:dyDescent="0.25">
      <c r="A44" s="33"/>
      <c r="B44" s="25"/>
      <c r="C44" s="25"/>
      <c r="D44" s="25"/>
      <c r="E44" s="25"/>
      <c r="F44" s="25"/>
      <c r="G44" s="25"/>
      <c r="H44" s="25"/>
      <c r="I44" s="25"/>
      <c r="J44" s="25"/>
      <c r="K44" s="25"/>
      <c r="L44" s="25"/>
      <c r="M44" s="25"/>
    </row>
    <row r="45" spans="1:13" x14ac:dyDescent="0.25">
      <c r="A45" s="27" t="s">
        <v>68</v>
      </c>
      <c r="B45" s="25"/>
      <c r="C45" s="25"/>
      <c r="D45" s="25"/>
      <c r="E45" s="25"/>
      <c r="F45" s="25"/>
      <c r="G45" s="25"/>
      <c r="H45" s="25"/>
      <c r="I45" s="25"/>
      <c r="J45" s="25"/>
      <c r="K45" s="25"/>
      <c r="L45" s="25"/>
      <c r="M45" s="25"/>
    </row>
    <row r="46" spans="1:13" x14ac:dyDescent="0.25">
      <c r="A46" s="25"/>
      <c r="B46" s="25"/>
      <c r="C46" s="25"/>
      <c r="D46" s="25"/>
      <c r="E46" s="25"/>
      <c r="F46" s="25"/>
      <c r="G46" s="25"/>
      <c r="H46" s="25"/>
      <c r="I46" s="25"/>
      <c r="J46" s="25"/>
      <c r="K46" s="25"/>
      <c r="L46" s="25"/>
      <c r="M46" s="25"/>
    </row>
    <row r="47" spans="1:13" ht="31.5" customHeight="1" x14ac:dyDescent="0.25">
      <c r="A47" s="36" t="s">
        <v>72</v>
      </c>
      <c r="B47" s="36"/>
      <c r="C47" s="36"/>
      <c r="D47" s="36"/>
      <c r="E47" s="36"/>
      <c r="F47" s="36"/>
      <c r="G47" s="36"/>
      <c r="H47" s="36"/>
      <c r="I47" s="36"/>
      <c r="J47" s="36"/>
      <c r="K47" s="36"/>
      <c r="L47" s="36"/>
      <c r="M47" s="25"/>
    </row>
    <row r="48" spans="1:13" ht="30.75" customHeight="1" x14ac:dyDescent="0.25">
      <c r="A48" s="35" t="s">
        <v>70</v>
      </c>
      <c r="B48" s="35"/>
      <c r="C48" s="35"/>
      <c r="D48" s="35"/>
      <c r="E48" s="35"/>
      <c r="F48" s="35"/>
      <c r="G48" s="35"/>
      <c r="H48" s="35"/>
      <c r="I48" s="35"/>
      <c r="J48" s="35"/>
      <c r="K48" s="35"/>
      <c r="L48" s="35"/>
      <c r="M48" s="25"/>
    </row>
    <row r="49" spans="1:13" ht="31.5" customHeight="1" x14ac:dyDescent="0.25">
      <c r="A49" s="35" t="s">
        <v>71</v>
      </c>
      <c r="B49" s="35"/>
      <c r="C49" s="35"/>
      <c r="D49" s="35"/>
      <c r="E49" s="35"/>
      <c r="F49" s="35"/>
      <c r="G49" s="35"/>
      <c r="H49" s="35"/>
      <c r="I49" s="35"/>
      <c r="J49" s="35"/>
      <c r="K49" s="35"/>
      <c r="L49" s="35"/>
      <c r="M49" s="25"/>
    </row>
    <row r="50" spans="1:13" ht="60" customHeight="1" x14ac:dyDescent="0.25">
      <c r="A50" s="35" t="s">
        <v>69</v>
      </c>
      <c r="B50" s="35"/>
      <c r="C50" s="35"/>
      <c r="D50" s="35"/>
      <c r="E50" s="35"/>
      <c r="F50" s="35"/>
      <c r="G50" s="35"/>
      <c r="H50" s="35"/>
      <c r="I50" s="35"/>
      <c r="J50" s="35"/>
      <c r="K50" s="35"/>
      <c r="L50" s="35"/>
      <c r="M50" s="25"/>
    </row>
    <row r="51" spans="1:13" x14ac:dyDescent="0.25">
      <c r="A51" s="25"/>
      <c r="B51" s="25"/>
      <c r="C51" s="25"/>
      <c r="D51" s="25"/>
      <c r="E51" s="25"/>
      <c r="F51" s="25"/>
      <c r="G51" s="25"/>
      <c r="H51" s="25"/>
      <c r="I51" s="25"/>
      <c r="J51" s="25"/>
      <c r="K51" s="25"/>
      <c r="L51" s="25"/>
      <c r="M51" s="25"/>
    </row>
  </sheetData>
  <sheetProtection selectLockedCells="1"/>
  <mergeCells count="4">
    <mergeCell ref="A50:L50"/>
    <mergeCell ref="A47:L47"/>
    <mergeCell ref="A48:L48"/>
    <mergeCell ref="A49:L49"/>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FFEB-0F6B-4E82-982C-12F2B04D293D}">
  <dimension ref="A1:F40"/>
  <sheetViews>
    <sheetView topLeftCell="A10" workbookViewId="0">
      <selection activeCell="I19" sqref="I19"/>
    </sheetView>
  </sheetViews>
  <sheetFormatPr defaultRowHeight="15" x14ac:dyDescent="0.25"/>
  <cols>
    <col min="1" max="1" width="23.85546875" bestFit="1" customWidth="1"/>
    <col min="2" max="2" width="10.85546875" bestFit="1" customWidth="1"/>
  </cols>
  <sheetData>
    <row r="1" spans="1:6" x14ac:dyDescent="0.25">
      <c r="A1" s="1" t="s">
        <v>40</v>
      </c>
    </row>
    <row r="3" spans="1:6" x14ac:dyDescent="0.25">
      <c r="A3" t="s">
        <v>8</v>
      </c>
      <c r="B3" s="2">
        <f>+'Front Page'!F11</f>
        <v>0.04</v>
      </c>
      <c r="C3" t="s">
        <v>38</v>
      </c>
    </row>
    <row r="4" spans="1:6" x14ac:dyDescent="0.25">
      <c r="A4" t="s">
        <v>4</v>
      </c>
      <c r="B4" s="3">
        <f>+('Front Page'!F10*12)</f>
        <v>180</v>
      </c>
    </row>
    <row r="5" spans="1:6" x14ac:dyDescent="0.25">
      <c r="A5" t="s">
        <v>3</v>
      </c>
      <c r="B5" s="3">
        <f>-'Front Page'!F8*(100%-28.125%)</f>
        <v>-2156.25</v>
      </c>
      <c r="C5" t="s">
        <v>39</v>
      </c>
    </row>
    <row r="6" spans="1:6" x14ac:dyDescent="0.25">
      <c r="A6" t="s">
        <v>6</v>
      </c>
      <c r="B6" s="3">
        <f>-'Front Page'!F9</f>
        <v>-1000000</v>
      </c>
    </row>
    <row r="7" spans="1:6" x14ac:dyDescent="0.25">
      <c r="A7" t="s">
        <v>0</v>
      </c>
      <c r="B7">
        <v>0</v>
      </c>
      <c r="C7" t="s">
        <v>7</v>
      </c>
    </row>
    <row r="8" spans="1:6" x14ac:dyDescent="0.25">
      <c r="A8" t="s">
        <v>1</v>
      </c>
      <c r="B8" s="17">
        <f>+FV(B3/12,B4,B5,B6,B7)</f>
        <v>2350934.242575461</v>
      </c>
    </row>
    <row r="10" spans="1:6" x14ac:dyDescent="0.25">
      <c r="A10" s="12" t="s">
        <v>10</v>
      </c>
      <c r="B10" s="18">
        <v>2022</v>
      </c>
    </row>
    <row r="11" spans="1:6" x14ac:dyDescent="0.25">
      <c r="A11" s="12" t="s">
        <v>57</v>
      </c>
      <c r="B11" s="5"/>
      <c r="C11" s="5"/>
      <c r="D11" s="6"/>
      <c r="E11" s="5"/>
      <c r="F11" s="5"/>
    </row>
    <row r="12" spans="1:6" x14ac:dyDescent="0.25">
      <c r="A12" s="7"/>
      <c r="B12" s="7"/>
      <c r="C12" s="7"/>
      <c r="D12" s="8"/>
      <c r="E12" s="7"/>
      <c r="F12" s="7"/>
    </row>
    <row r="13" spans="1:6" x14ac:dyDescent="0.25">
      <c r="A13" s="37" t="s">
        <v>11</v>
      </c>
      <c r="B13" s="38"/>
      <c r="C13" s="37" t="s">
        <v>12</v>
      </c>
      <c r="D13" s="39"/>
      <c r="E13" s="38"/>
      <c r="F13" s="7"/>
    </row>
    <row r="14" spans="1:6" x14ac:dyDescent="0.25">
      <c r="A14" s="9">
        <v>0</v>
      </c>
      <c r="B14" s="9">
        <v>216200</v>
      </c>
      <c r="C14" s="9"/>
      <c r="D14" s="10">
        <v>0.18</v>
      </c>
      <c r="E14" s="9" t="s">
        <v>13</v>
      </c>
      <c r="F14" s="7"/>
    </row>
    <row r="15" spans="1:6" x14ac:dyDescent="0.25">
      <c r="A15" s="9">
        <f>B14+1</f>
        <v>216201</v>
      </c>
      <c r="B15" s="9">
        <v>337800</v>
      </c>
      <c r="C15" s="9">
        <v>38916</v>
      </c>
      <c r="D15" s="10">
        <v>0.26</v>
      </c>
      <c r="E15" s="9" t="s">
        <v>14</v>
      </c>
      <c r="F15" s="7"/>
    </row>
    <row r="16" spans="1:6" x14ac:dyDescent="0.25">
      <c r="A16" s="9">
        <f>B15+1</f>
        <v>337801</v>
      </c>
      <c r="B16" s="9">
        <v>467500</v>
      </c>
      <c r="C16" s="9">
        <v>70532</v>
      </c>
      <c r="D16" s="10">
        <v>0.31</v>
      </c>
      <c r="E16" s="9" t="s">
        <v>15</v>
      </c>
      <c r="F16" s="7"/>
    </row>
    <row r="17" spans="1:6" x14ac:dyDescent="0.25">
      <c r="A17" s="9">
        <f>B16+1</f>
        <v>467501</v>
      </c>
      <c r="B17" s="9">
        <v>613600</v>
      </c>
      <c r="C17" s="9">
        <v>110739</v>
      </c>
      <c r="D17" s="10">
        <v>0.36</v>
      </c>
      <c r="E17" s="9" t="s">
        <v>16</v>
      </c>
      <c r="F17" s="7"/>
    </row>
    <row r="18" spans="1:6" x14ac:dyDescent="0.25">
      <c r="A18" s="9">
        <f>B17+1</f>
        <v>613601</v>
      </c>
      <c r="B18" s="9">
        <v>782200</v>
      </c>
      <c r="C18" s="9">
        <v>163335</v>
      </c>
      <c r="D18" s="10">
        <v>0.39</v>
      </c>
      <c r="E18" s="9" t="s">
        <v>17</v>
      </c>
      <c r="F18" s="7"/>
    </row>
    <row r="19" spans="1:6" x14ac:dyDescent="0.25">
      <c r="A19" s="9">
        <f>B18+1</f>
        <v>782201</v>
      </c>
      <c r="B19" s="9">
        <v>1656600</v>
      </c>
      <c r="C19" s="9">
        <v>229089</v>
      </c>
      <c r="D19" s="10">
        <v>0.41</v>
      </c>
      <c r="E19" s="9" t="s">
        <v>18</v>
      </c>
      <c r="F19" s="7"/>
    </row>
    <row r="20" spans="1:6" x14ac:dyDescent="0.25">
      <c r="A20" s="9">
        <f>+B19+1</f>
        <v>1656601</v>
      </c>
      <c r="B20" s="9"/>
      <c r="C20" s="9">
        <v>587593</v>
      </c>
      <c r="D20" s="10">
        <v>0.45</v>
      </c>
      <c r="E20" s="9" t="s">
        <v>19</v>
      </c>
      <c r="F20" s="7"/>
    </row>
    <row r="21" spans="1:6" x14ac:dyDescent="0.25">
      <c r="E21" s="7"/>
      <c r="F21" s="7"/>
    </row>
    <row r="22" spans="1:6" x14ac:dyDescent="0.25">
      <c r="A22" s="11" t="s">
        <v>20</v>
      </c>
      <c r="B22" s="9">
        <v>0</v>
      </c>
      <c r="C22" s="9">
        <v>15714</v>
      </c>
      <c r="D22" s="9">
        <f>+C22</f>
        <v>15714</v>
      </c>
      <c r="E22" s="7"/>
      <c r="F22" s="7"/>
    </row>
    <row r="23" spans="1:6" x14ac:dyDescent="0.25">
      <c r="A23" s="11" t="s">
        <v>21</v>
      </c>
      <c r="B23" s="9">
        <v>65</v>
      </c>
      <c r="C23" s="9">
        <v>8613</v>
      </c>
      <c r="D23" s="9">
        <f>+D22+C23</f>
        <v>24327</v>
      </c>
      <c r="E23" s="8"/>
      <c r="F23" s="7"/>
    </row>
    <row r="24" spans="1:6" x14ac:dyDescent="0.25">
      <c r="A24" s="11" t="s">
        <v>21</v>
      </c>
      <c r="B24" s="9">
        <v>75</v>
      </c>
      <c r="C24" s="9">
        <v>2871</v>
      </c>
      <c r="D24" s="9">
        <f>+D23+C24</f>
        <v>27198</v>
      </c>
    </row>
    <row r="26" spans="1:6" x14ac:dyDescent="0.25">
      <c r="A26" s="12" t="s">
        <v>22</v>
      </c>
      <c r="D26" s="12">
        <v>12</v>
      </c>
      <c r="E26" s="4" t="s">
        <v>23</v>
      </c>
    </row>
    <row r="27" spans="1:6" x14ac:dyDescent="0.25">
      <c r="A27" s="12"/>
      <c r="D27" s="12"/>
      <c r="E27" s="4"/>
    </row>
    <row r="28" spans="1:6" x14ac:dyDescent="0.25">
      <c r="A28" s="13" t="s">
        <v>24</v>
      </c>
      <c r="B28" s="1">
        <v>50</v>
      </c>
      <c r="C28" s="1" t="s">
        <v>55</v>
      </c>
      <c r="D28" s="19" t="s">
        <v>59</v>
      </c>
      <c r="E28" s="19" t="s">
        <v>58</v>
      </c>
    </row>
    <row r="29" spans="1:6" x14ac:dyDescent="0.25">
      <c r="A29" s="12" t="s">
        <v>25</v>
      </c>
    </row>
    <row r="30" spans="1:6" x14ac:dyDescent="0.25">
      <c r="A30" s="7" t="s">
        <v>26</v>
      </c>
      <c r="D30" s="3">
        <f>+'Front Page'!F8/16*100</f>
        <v>18750</v>
      </c>
      <c r="E30" s="3">
        <f>+D30</f>
        <v>18750</v>
      </c>
    </row>
    <row r="31" spans="1:6" x14ac:dyDescent="0.25">
      <c r="D31" s="3"/>
      <c r="E31" s="3"/>
    </row>
    <row r="32" spans="1:6" x14ac:dyDescent="0.25">
      <c r="A32" s="13" t="s">
        <v>27</v>
      </c>
      <c r="D32" s="3"/>
      <c r="E32" s="3"/>
    </row>
    <row r="33" spans="1:5" x14ac:dyDescent="0.25">
      <c r="A33" s="14" t="s">
        <v>28</v>
      </c>
      <c r="D33" s="3">
        <f>-'Front Page'!F8</f>
        <v>-3000</v>
      </c>
      <c r="E33" s="3">
        <f>-'Front Page'!G8</f>
        <v>0</v>
      </c>
    </row>
    <row r="34" spans="1:5" x14ac:dyDescent="0.25">
      <c r="A34" s="14"/>
      <c r="D34" s="3"/>
      <c r="E34" s="3"/>
    </row>
    <row r="35" spans="1:5" x14ac:dyDescent="0.25">
      <c r="A35" s="7"/>
      <c r="D35" s="16">
        <f>+D30+D33</f>
        <v>15750</v>
      </c>
      <c r="E35" s="16">
        <f>+E30+E33</f>
        <v>18750</v>
      </c>
    </row>
    <row r="36" spans="1:5" x14ac:dyDescent="0.25">
      <c r="A36" s="7" t="s">
        <v>29</v>
      </c>
      <c r="D36" s="16">
        <f>+D35*12</f>
        <v>189000</v>
      </c>
      <c r="E36" s="16">
        <f>+E35*12</f>
        <v>225000</v>
      </c>
    </row>
    <row r="37" spans="1:5" x14ac:dyDescent="0.25">
      <c r="A37" s="7" t="s">
        <v>30</v>
      </c>
      <c r="D37" s="15">
        <f>(D36-VLOOKUP(D36,$A$14:$D$20,1,1))*VLOOKUP(D36,$A$14:$D$20,4)+VLOOKUP(D36,$A$14:$D$20,3)</f>
        <v>34020</v>
      </c>
      <c r="E37" s="15">
        <f>(E36-VLOOKUP(E36,$A$14:$D$20,1,1))*VLOOKUP(E36,$A$14:$D$20,4)+VLOOKUP(E36,$A$14:$D$20,3)</f>
        <v>41203.74</v>
      </c>
    </row>
    <row r="38" spans="1:5" x14ac:dyDescent="0.25">
      <c r="A38" s="7" t="s">
        <v>31</v>
      </c>
      <c r="D38" s="3">
        <f>+E37-D37</f>
        <v>7183.739999999998</v>
      </c>
    </row>
    <row r="39" spans="1:5" x14ac:dyDescent="0.25">
      <c r="A39" s="7" t="s">
        <v>56</v>
      </c>
      <c r="D39" s="3">
        <f>+IF((-D33/16*100)*12&lt;87300,0,D38)</f>
        <v>7183.739999999998</v>
      </c>
    </row>
    <row r="40" spans="1:5" x14ac:dyDescent="0.25">
      <c r="A40" s="7" t="s">
        <v>32</v>
      </c>
      <c r="D40" s="5">
        <f>+D39/12</f>
        <v>598.64499999999987</v>
      </c>
    </row>
  </sheetData>
  <sheetProtection algorithmName="SHA-512" hashValue="KoB4h5Bovlt4Qu63osA9EOTc2dV5gGM5L8ywibrSbRedPfaSvhNGcRuG66JBSFIvBk5fL4aGeZlJ+4NKecI8fQ==" saltValue="+fRAwzn8LSFGrieQaiLNoA==" spinCount="100000" sheet="1" objects="1" scenarios="1" selectLockedCells="1" selectUnlockedCells="1"/>
  <mergeCells count="2">
    <mergeCell ref="A13:B13"/>
    <mergeCell ref="C13:E13"/>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Front Page</vt:lpstr>
      <vt:lpstr>Calculation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Beykirch</dc:creator>
  <cp:lastModifiedBy>alisha sumer</cp:lastModifiedBy>
  <cp:lastPrinted>2021-10-05T06:30:28Z</cp:lastPrinted>
  <dcterms:created xsi:type="dcterms:W3CDTF">2021-04-22T10:52:04Z</dcterms:created>
  <dcterms:modified xsi:type="dcterms:W3CDTF">2021-10-05T06:31:54Z</dcterms:modified>
</cp:coreProperties>
</file>